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7020" activeTab="0"/>
  </bookViews>
  <sheets>
    <sheet name="Demographics" sheetId="1" r:id="rId1"/>
  </sheets>
  <definedNames>
    <definedName name="Print_Titles_MI" localSheetId="0">'Demographics'!$A:$XFD,'Demographics'!$A:$A</definedName>
  </definedNames>
  <calcPr fullCalcOnLoad="1"/>
</workbook>
</file>

<file path=xl/sharedStrings.xml><?xml version="1.0" encoding="utf-8"?>
<sst xmlns="http://schemas.openxmlformats.org/spreadsheetml/2006/main" count="111" uniqueCount="92">
  <si>
    <t>total</t>
  </si>
  <si>
    <t>highest</t>
  </si>
  <si>
    <t>min.</t>
  </si>
  <si>
    <t>max.</t>
  </si>
  <si>
    <t>average</t>
  </si>
  <si>
    <t>classed</t>
  </si>
  <si>
    <t>cleric</t>
  </si>
  <si>
    <t>population</t>
  </si>
  <si>
    <t>clerics</t>
  </si>
  <si>
    <t>level</t>
  </si>
  <si>
    <t>Thorp</t>
  </si>
  <si>
    <t>none</t>
  </si>
  <si>
    <t>Hamlet</t>
  </si>
  <si>
    <t>0-1</t>
  </si>
  <si>
    <t>acolyte</t>
  </si>
  <si>
    <t>Village</t>
  </si>
  <si>
    <t>2-3</t>
  </si>
  <si>
    <t>priest</t>
  </si>
  <si>
    <t>Town</t>
  </si>
  <si>
    <t>4-7</t>
  </si>
  <si>
    <t>canon</t>
  </si>
  <si>
    <t>City</t>
  </si>
  <si>
    <t>8-13</t>
  </si>
  <si>
    <t>high priest</t>
  </si>
  <si>
    <t>Kingdom</t>
  </si>
  <si>
    <t>14-17</t>
  </si>
  <si>
    <t>Empire</t>
  </si>
  <si>
    <t>19-24</t>
  </si>
  <si>
    <t xml:space="preserve">  Percent of characters at 1st level:</t>
  </si>
  <si>
    <t>Magi</t>
  </si>
  <si>
    <t xml:space="preserve">  Percent of characters 1st-2nd level:</t>
  </si>
  <si>
    <t>Arch-Magi</t>
  </si>
  <si>
    <t>Sum 10th+</t>
  </si>
  <si>
    <t>One out of N humans advanced in level:</t>
  </si>
  <si>
    <t>level:</t>
  </si>
  <si>
    <t>About 1 in 200 population will be 1st level seeking henchman status.</t>
  </si>
  <si>
    <t>Total</t>
  </si>
  <si>
    <t xml:space="preserve">   Clerical Cure Disease:</t>
  </si>
  <si>
    <t xml:space="preserve">    Grand Total Magic Items:</t>
  </si>
  <si>
    <t>Fighter of</t>
  </si>
  <si>
    <t>troops</t>
  </si>
  <si>
    <t>Percent of</t>
  </si>
  <si>
    <t>Population:</t>
  </si>
  <si>
    <t>fighters</t>
  </si>
  <si>
    <t>thieves</t>
  </si>
  <si>
    <t>other</t>
  </si>
  <si>
    <t>this level</t>
  </si>
  <si>
    <t>for an</t>
  </si>
  <si>
    <t>10th+</t>
  </si>
  <si>
    <t>Max Cures</t>
  </si>
  <si>
    <t>Cumulative</t>
  </si>
  <si>
    <t># of level</t>
  </si>
  <si>
    <t>15-20%</t>
  </si>
  <si>
    <t>44-50%</t>
  </si>
  <si>
    <t>10-20%</t>
  </si>
  <si>
    <t>15-24%</t>
  </si>
  <si>
    <t xml:space="preserve">per N </t>
  </si>
  <si>
    <t>officer</t>
  </si>
  <si>
    <t>per day</t>
  </si>
  <si>
    <t>Cures</t>
  </si>
  <si>
    <t>armor</t>
  </si>
  <si>
    <t>misc.</t>
  </si>
  <si>
    <t>wand</t>
  </si>
  <si>
    <t>men-at-arms</t>
  </si>
  <si>
    <t>(DMG p.30)</t>
  </si>
  <si>
    <t>per cleric</t>
  </si>
  <si>
    <t>per month</t>
  </si>
  <si>
    <t>shield</t>
  </si>
  <si>
    <t>sword</t>
  </si>
  <si>
    <t>weapon</t>
  </si>
  <si>
    <t>potion</t>
  </si>
  <si>
    <t>scroll</t>
  </si>
  <si>
    <t>ring</t>
  </si>
  <si>
    <t>staff</t>
  </si>
  <si>
    <t xml:space="preserve">  of classed</t>
  </si>
  <si>
    <t>Lords</t>
  </si>
  <si>
    <t>Wizards</t>
  </si>
  <si>
    <t>Name Level</t>
  </si>
  <si>
    <t>magic-</t>
  </si>
  <si>
    <t>users</t>
  </si>
  <si>
    <t xml:space="preserve">  of popltn.</t>
  </si>
  <si>
    <t>soldiers</t>
  </si>
  <si>
    <t>(WOG p.16)</t>
  </si>
  <si>
    <t>Master</t>
  </si>
  <si>
    <t>Thieves</t>
  </si>
  <si>
    <t>High</t>
  </si>
  <si>
    <t>Priests</t>
  </si>
  <si>
    <t>(DMG p.34)</t>
  </si>
  <si>
    <t>(as below)</t>
  </si>
  <si>
    <t>HUMAN CLASS/LEVEL DEMOGRAPHICS:</t>
  </si>
  <si>
    <t xml:space="preserve">     (as per MM p. 66 &amp; WOG p. 4-5)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</si>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</sst>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0.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2"/>
  <sheetViews>
    <sheetView showGridLines="0" tabSelected="1" workbookViewId="0" topLeftCell="A1">
      <selection activeCell="A1" sqref="A1"/>
    </sheetView>
  </sheetViews>
  <sheetFormatPr defaultColWidth="10.75390625" defaultRowHeight="12.75"/>
  <cols>
    <col min="1" max="4" width="12.75390625" style="0" customWidth="1"/>
    <col min="12" max="12" width="4.75390625" style="0" customWidth="1"/>
    <col min="16" max="16" width="4.75390625" style="0" customWidth="1"/>
    <col min="17" max="21" width="7.75390625" style="0" customWidth="1"/>
    <col min="22" max="22" width="8.75390625" style="0" customWidth="1"/>
    <col min="23" max="25" width="7.75390625" style="0" customWidth="1"/>
  </cols>
  <sheetData>
    <row r="1" spans="1:5" ht="12">
      <c r="A1" s="11" t="s">
        <v>89</v>
      </c>
      <c r="B1" s="2"/>
      <c r="E1" s="3"/>
    </row>
    <row r="2" spans="2:9" ht="12">
      <c r="B2" s="12"/>
      <c r="C2" s="12"/>
      <c r="D2" s="12"/>
      <c r="E2" s="13" t="s">
        <v>0</v>
      </c>
      <c r="F2" s="18" t="s">
        <v>0</v>
      </c>
      <c r="G2" s="14"/>
      <c r="H2" s="13" t="s">
        <v>1</v>
      </c>
      <c r="I2" s="3"/>
    </row>
    <row r="3" spans="2:15" ht="12">
      <c r="B3" s="15" t="s">
        <v>2</v>
      </c>
      <c r="C3" s="13" t="s">
        <v>3</v>
      </c>
      <c r="D3" s="13" t="s">
        <v>4</v>
      </c>
      <c r="E3" s="13" t="s">
        <v>5</v>
      </c>
      <c r="F3" s="13" t="s">
        <v>5</v>
      </c>
      <c r="G3" s="13" t="s">
        <v>0</v>
      </c>
      <c r="H3" s="13" t="s">
        <v>6</v>
      </c>
      <c r="N3" s="2"/>
      <c r="O3" s="2"/>
    </row>
    <row r="4" spans="2:15" ht="12">
      <c r="B4" s="15" t="s">
        <v>7</v>
      </c>
      <c r="C4" s="13" t="s">
        <v>7</v>
      </c>
      <c r="D4" s="13" t="s">
        <v>7</v>
      </c>
      <c r="E4" s="13" t="s">
        <v>87</v>
      </c>
      <c r="F4" s="13" t="s">
        <v>88</v>
      </c>
      <c r="G4" s="13" t="s">
        <v>8</v>
      </c>
      <c r="H4" s="13" t="s">
        <v>9</v>
      </c>
      <c r="N4" s="2"/>
      <c r="O4" s="2"/>
    </row>
    <row r="5" spans="1:10" ht="12">
      <c r="A5" s="11" t="s">
        <v>10</v>
      </c>
      <c r="B5" s="2">
        <v>20</v>
      </c>
      <c r="C5" s="2">
        <v>80</v>
      </c>
      <c r="D5" s="2">
        <f aca="true" t="shared" si="0" ref="D5:D10">AVERAGE(B5:C5)</f>
        <v>50</v>
      </c>
      <c r="E5" s="3">
        <f aca="true" t="shared" si="1" ref="E5:E11">D5/100</f>
        <v>0.5</v>
      </c>
      <c r="F5" s="2">
        <v>1</v>
      </c>
      <c r="G5" s="2">
        <v>0</v>
      </c>
      <c r="H5" s="4">
        <v>0</v>
      </c>
      <c r="I5" s="1" t="s">
        <v>11</v>
      </c>
      <c r="J5" s="2"/>
    </row>
    <row r="6" spans="1:13" ht="12">
      <c r="A6" s="11" t="s">
        <v>12</v>
      </c>
      <c r="B6" s="2">
        <v>100</v>
      </c>
      <c r="C6" s="2">
        <v>400</v>
      </c>
      <c r="D6" s="2">
        <f t="shared" si="0"/>
        <v>250</v>
      </c>
      <c r="E6" s="2">
        <f t="shared" si="1"/>
        <v>2.5</v>
      </c>
      <c r="F6" s="2">
        <v>6</v>
      </c>
      <c r="G6" s="2">
        <v>1</v>
      </c>
      <c r="H6" s="4" t="s">
        <v>13</v>
      </c>
      <c r="I6" s="1" t="s">
        <v>14</v>
      </c>
      <c r="J6" s="2"/>
      <c r="M6" s="2"/>
    </row>
    <row r="7" spans="1:13" ht="12">
      <c r="A7" s="11" t="s">
        <v>15</v>
      </c>
      <c r="B7" s="2">
        <v>600</v>
      </c>
      <c r="C7" s="2">
        <v>900</v>
      </c>
      <c r="D7" s="2">
        <f t="shared" si="0"/>
        <v>750</v>
      </c>
      <c r="E7" s="2">
        <f t="shared" si="1"/>
        <v>7.5</v>
      </c>
      <c r="F7" s="2">
        <v>19</v>
      </c>
      <c r="G7" s="2">
        <v>3</v>
      </c>
      <c r="H7" s="4" t="s">
        <v>16</v>
      </c>
      <c r="I7" s="1" t="s">
        <v>17</v>
      </c>
      <c r="J7" s="2"/>
      <c r="M7" s="2"/>
    </row>
    <row r="8" spans="1:13" ht="12">
      <c r="A8" s="11" t="s">
        <v>18</v>
      </c>
      <c r="B8" s="2">
        <v>1500</v>
      </c>
      <c r="C8" s="2">
        <v>6500</v>
      </c>
      <c r="D8" s="2">
        <f t="shared" si="0"/>
        <v>4000</v>
      </c>
      <c r="E8" s="2">
        <f t="shared" si="1"/>
        <v>40</v>
      </c>
      <c r="F8" s="2">
        <v>104</v>
      </c>
      <c r="G8" s="2">
        <v>17</v>
      </c>
      <c r="H8" s="4" t="s">
        <v>19</v>
      </c>
      <c r="I8" s="1" t="s">
        <v>20</v>
      </c>
      <c r="J8" s="2"/>
      <c r="M8" s="2"/>
    </row>
    <row r="9" spans="1:13" ht="12">
      <c r="A9" s="11" t="s">
        <v>21</v>
      </c>
      <c r="B9" s="2">
        <v>10000</v>
      </c>
      <c r="C9" s="2">
        <v>60000</v>
      </c>
      <c r="D9" s="2">
        <f t="shared" si="0"/>
        <v>35000</v>
      </c>
      <c r="E9" s="2">
        <f t="shared" si="1"/>
        <v>350</v>
      </c>
      <c r="F9" s="2">
        <v>909</v>
      </c>
      <c r="G9" s="2">
        <v>150</v>
      </c>
      <c r="H9" s="4" t="s">
        <v>22</v>
      </c>
      <c r="I9" s="1" t="s">
        <v>23</v>
      </c>
      <c r="J9" s="2"/>
      <c r="M9" s="2"/>
    </row>
    <row r="10" spans="1:13" ht="12">
      <c r="A10" s="11" t="s">
        <v>24</v>
      </c>
      <c r="B10" s="2">
        <v>100000</v>
      </c>
      <c r="C10" s="2">
        <v>500000</v>
      </c>
      <c r="D10" s="2">
        <f t="shared" si="0"/>
        <v>300000</v>
      </c>
      <c r="E10" s="2">
        <f t="shared" si="1"/>
        <v>3000</v>
      </c>
      <c r="F10" s="2">
        <v>7792</v>
      </c>
      <c r="G10" s="2">
        <v>1285</v>
      </c>
      <c r="H10" s="4" t="s">
        <v>25</v>
      </c>
      <c r="I10" s="1" t="s">
        <v>23</v>
      </c>
      <c r="J10" s="2"/>
      <c r="M10" s="2"/>
    </row>
    <row r="11" spans="1:13" ht="12">
      <c r="A11" s="11" t="s">
        <v>26</v>
      </c>
      <c r="B11" s="2">
        <v>1000000</v>
      </c>
      <c r="C11" s="2">
        <v>10000000</v>
      </c>
      <c r="D11" s="2">
        <v>4000000</v>
      </c>
      <c r="E11" s="2">
        <f t="shared" si="1"/>
        <v>40000</v>
      </c>
      <c r="F11" s="2">
        <v>103896</v>
      </c>
      <c r="G11" s="2">
        <v>17140</v>
      </c>
      <c r="H11" s="4" t="s">
        <v>27</v>
      </c>
      <c r="I11" s="1" t="s">
        <v>23</v>
      </c>
      <c r="J11" s="2"/>
      <c r="M11" s="2"/>
    </row>
    <row r="13" spans="1:7" ht="12">
      <c r="A13" s="19" t="s">
        <v>28</v>
      </c>
      <c r="D13" s="5">
        <f>B22/B54</f>
        <v>0.3900487075571202</v>
      </c>
      <c r="E13" s="4" t="s">
        <v>29</v>
      </c>
      <c r="F13" s="6">
        <f>SUM(E37:E38)</f>
        <v>30.928975881317072</v>
      </c>
      <c r="G13" s="6"/>
    </row>
    <row r="14" spans="1:11" ht="12">
      <c r="A14" s="19" t="s">
        <v>30</v>
      </c>
      <c r="D14" s="5">
        <f>(B22+B23)/B54</f>
        <v>0.6275883704594064</v>
      </c>
      <c r="E14" s="4" t="s">
        <v>31</v>
      </c>
      <c r="F14" s="6">
        <f>SUM(E39:E45)</f>
        <v>21.518431267943555</v>
      </c>
      <c r="G14" s="6"/>
      <c r="K14" s="17" t="s">
        <v>32</v>
      </c>
    </row>
    <row r="15" spans="1:13" ht="12">
      <c r="A15" s="19" t="s">
        <v>33</v>
      </c>
      <c r="D15" s="8">
        <f>B20/B54</f>
        <v>39.00487075571202</v>
      </c>
      <c r="K15" s="17" t="s">
        <v>34</v>
      </c>
      <c r="M15" s="3"/>
    </row>
    <row r="16" spans="1:13" ht="12">
      <c r="A16" s="19" t="s">
        <v>35</v>
      </c>
      <c r="K16" s="2">
        <f>SUM(B31:B51)</f>
        <v>3749.765180952211</v>
      </c>
      <c r="M16" s="3"/>
    </row>
    <row r="17" spans="10:22" ht="12">
      <c r="J17" s="13" t="s">
        <v>36</v>
      </c>
      <c r="L17" s="12"/>
      <c r="M17" s="16" t="s">
        <v>37</v>
      </c>
      <c r="P17" s="3"/>
      <c r="Q17" s="11" t="s">
        <v>38</v>
      </c>
      <c r="U17" s="2"/>
      <c r="V17" s="2">
        <f>SUM(Q54:Y54)</f>
        <v>342723.4702026168</v>
      </c>
    </row>
    <row r="18" spans="4:17" ht="12">
      <c r="D18" s="3"/>
      <c r="E18" s="18" t="s">
        <v>78</v>
      </c>
      <c r="I18" s="13" t="s">
        <v>39</v>
      </c>
      <c r="J18" s="13" t="s">
        <v>40</v>
      </c>
      <c r="K18" s="17" t="s">
        <v>41</v>
      </c>
      <c r="Q18" s="12" t="s">
        <v>90</v>
      </c>
    </row>
    <row r="19" spans="2:15" ht="12">
      <c r="B19" s="16" t="s">
        <v>42</v>
      </c>
      <c r="C19" s="13" t="s">
        <v>8</v>
      </c>
      <c r="D19" s="13" t="s">
        <v>43</v>
      </c>
      <c r="E19" s="17" t="s">
        <v>79</v>
      </c>
      <c r="F19" s="13" t="s">
        <v>44</v>
      </c>
      <c r="G19" s="13" t="s">
        <v>45</v>
      </c>
      <c r="I19" s="13" t="s">
        <v>46</v>
      </c>
      <c r="J19" s="13" t="s">
        <v>47</v>
      </c>
      <c r="K19" s="17" t="s">
        <v>48</v>
      </c>
      <c r="M19" s="13" t="s">
        <v>49</v>
      </c>
      <c r="N19" s="15" t="s">
        <v>36</v>
      </c>
      <c r="O19" s="15" t="s">
        <v>50</v>
      </c>
    </row>
    <row r="20" spans="1:25" ht="12">
      <c r="A20" s="11" t="s">
        <v>51</v>
      </c>
      <c r="B20" s="2">
        <v>12000000</v>
      </c>
      <c r="C20" s="4" t="s">
        <v>52</v>
      </c>
      <c r="D20" s="4" t="s">
        <v>53</v>
      </c>
      <c r="E20" s="7" t="s">
        <v>54</v>
      </c>
      <c r="F20" s="4" t="s">
        <v>55</v>
      </c>
      <c r="G20" s="7">
        <v>0.01</v>
      </c>
      <c r="I20" s="13" t="s">
        <v>56</v>
      </c>
      <c r="J20" s="13" t="s">
        <v>57</v>
      </c>
      <c r="K20" s="17" t="s">
        <v>9</v>
      </c>
      <c r="M20" s="13" t="s">
        <v>58</v>
      </c>
      <c r="N20" s="15" t="s">
        <v>59</v>
      </c>
      <c r="O20" s="15" t="s">
        <v>0</v>
      </c>
      <c r="Q20" s="6"/>
      <c r="R20" s="20" t="s">
        <v>60</v>
      </c>
      <c r="S20" s="21"/>
      <c r="T20" s="20" t="s">
        <v>61</v>
      </c>
      <c r="U20" s="21"/>
      <c r="V20" s="21"/>
      <c r="W20" s="21"/>
      <c r="X20" s="20" t="s">
        <v>62</v>
      </c>
      <c r="Y20" s="21"/>
    </row>
    <row r="21" spans="1:25" ht="12">
      <c r="A21" s="4" t="s">
        <v>63</v>
      </c>
      <c r="B21" s="2">
        <f>B20*0.05</f>
        <v>600000</v>
      </c>
      <c r="C21" s="7">
        <v>0.15</v>
      </c>
      <c r="D21" s="7">
        <v>0.5</v>
      </c>
      <c r="E21" s="7">
        <v>0.1</v>
      </c>
      <c r="F21" s="7">
        <v>0.24</v>
      </c>
      <c r="G21" s="7">
        <v>0.01</v>
      </c>
      <c r="I21" s="13" t="s">
        <v>81</v>
      </c>
      <c r="J21" s="13" t="s">
        <v>64</v>
      </c>
      <c r="K21" s="17" t="s">
        <v>82</v>
      </c>
      <c r="M21" s="13" t="s">
        <v>65</v>
      </c>
      <c r="N21" s="15" t="s">
        <v>58</v>
      </c>
      <c r="O21" s="15" t="s">
        <v>66</v>
      </c>
      <c r="Q21" s="6"/>
      <c r="R21" s="20" t="s">
        <v>67</v>
      </c>
      <c r="S21" s="20" t="s">
        <v>68</v>
      </c>
      <c r="T21" s="20" t="s">
        <v>69</v>
      </c>
      <c r="U21" s="20" t="s">
        <v>70</v>
      </c>
      <c r="V21" s="20" t="s">
        <v>71</v>
      </c>
      <c r="W21" s="20" t="s">
        <v>72</v>
      </c>
      <c r="X21" s="20" t="s">
        <v>73</v>
      </c>
      <c r="Y21" s="20" t="s">
        <v>61</v>
      </c>
    </row>
    <row r="22" spans="1:25" ht="12">
      <c r="A22" s="3">
        <v>1</v>
      </c>
      <c r="B22" s="2">
        <f>B20/100</f>
        <v>120000</v>
      </c>
      <c r="C22" s="2">
        <f>$B22*C21</f>
        <v>18000</v>
      </c>
      <c r="D22" s="2">
        <f>$B22*D21</f>
        <v>60000</v>
      </c>
      <c r="E22" s="2">
        <f>$B22*E21</f>
        <v>12000</v>
      </c>
      <c r="F22" s="2">
        <f>$B22*F21</f>
        <v>28800</v>
      </c>
      <c r="G22" s="2">
        <f>$B22*G21</f>
        <v>1200</v>
      </c>
      <c r="I22" s="2">
        <f aca="true" t="shared" si="2" ref="I22:I45">B$21/D22</f>
        <v>10</v>
      </c>
      <c r="J22" s="3">
        <v>10</v>
      </c>
      <c r="M22" s="3">
        <v>0</v>
      </c>
      <c r="N22" s="2">
        <f aca="true" t="shared" si="3" ref="N22:N51">M22*ROUND(C22,0)</f>
        <v>0</v>
      </c>
      <c r="O22" s="2">
        <f aca="true" t="shared" si="4" ref="O22:O51">O21+N22*30</f>
        <v>0</v>
      </c>
      <c r="R22" s="6">
        <f aca="true" t="shared" si="5" ref="R22:R51">($C22*0.1+$D22*0.1+$E22*0+$F22*0.1)*$A22</f>
        <v>10680</v>
      </c>
      <c r="S22" s="6">
        <f aca="true" t="shared" si="6" ref="S22:S51">($C22*0+$D22*0.1+$E22*0+$F22*0.1)*$A22</f>
        <v>8880</v>
      </c>
      <c r="T22" s="6">
        <f aca="true" t="shared" si="7" ref="T22:T51">($C22*0.1+$D22*0.05+$E22*0.05+$F22*0.05)*$A22</f>
        <v>6840</v>
      </c>
      <c r="U22" s="6">
        <f aca="true" t="shared" si="8" ref="U22:U51">($C22*0.05+$D22*0.03+$E22*0.1+$F22*0.03)*$A22</f>
        <v>4764</v>
      </c>
      <c r="V22" s="6">
        <f aca="true" t="shared" si="9" ref="V22:V51">($C22*0.05+$D22*0.02+$E22*0.1+$F22*0.02)*$A22</f>
        <v>3876</v>
      </c>
      <c r="W22" s="6">
        <f aca="true" t="shared" si="10" ref="W22:W51">($C22*0.05+$D22*0.05+$E22*0.05+$F22*0.05)*$A22</f>
        <v>5940</v>
      </c>
      <c r="X22" s="6">
        <f aca="true" t="shared" si="11" ref="X22:X51">($C22*0.05+$D22*0.05+$E22*0.1+$F22*0.01)*$A22</f>
        <v>5388</v>
      </c>
      <c r="Y22" s="6">
        <f aca="true" t="shared" si="12" ref="Y22:Y51">($C22*0.05+$D22*0.05+$E22*0.05+$F22*0.05)*$A22</f>
        <v>5940</v>
      </c>
    </row>
    <row r="23" spans="1:25" ht="12">
      <c r="A23" s="3">
        <v>2</v>
      </c>
      <c r="B23" s="2">
        <f aca="true" t="shared" si="13" ref="B23:B51">SUM(C23:G23)</f>
        <v>73080</v>
      </c>
      <c r="C23" s="2">
        <f>C22*0.62</f>
        <v>11160</v>
      </c>
      <c r="D23" s="2">
        <f>D22*0.6</f>
        <v>36000</v>
      </c>
      <c r="E23" s="2">
        <f>E22*0.65</f>
        <v>7800</v>
      </c>
      <c r="F23" s="2">
        <f>F22*0.6</f>
        <v>17280</v>
      </c>
      <c r="G23" s="2">
        <f>G22*0.7</f>
        <v>840</v>
      </c>
      <c r="I23" s="2">
        <f t="shared" si="2"/>
        <v>16.666666666666668</v>
      </c>
      <c r="J23" s="3">
        <f>A23*10</f>
        <v>20</v>
      </c>
      <c r="M23" s="3">
        <v>0</v>
      </c>
      <c r="N23" s="2">
        <f t="shared" si="3"/>
        <v>0</v>
      </c>
      <c r="O23" s="2">
        <f t="shared" si="4"/>
        <v>0</v>
      </c>
      <c r="R23" s="6">
        <f t="shared" si="5"/>
        <v>12888</v>
      </c>
      <c r="S23" s="6">
        <f t="shared" si="6"/>
        <v>10656</v>
      </c>
      <c r="T23" s="6">
        <f t="shared" si="7"/>
        <v>8340</v>
      </c>
      <c r="U23" s="6">
        <f t="shared" si="8"/>
        <v>5872.8</v>
      </c>
      <c r="V23" s="6">
        <f t="shared" si="9"/>
        <v>4807.2</v>
      </c>
      <c r="W23" s="6">
        <f t="shared" si="10"/>
        <v>7224</v>
      </c>
      <c r="X23" s="6">
        <f t="shared" si="11"/>
        <v>6621.6</v>
      </c>
      <c r="Y23" s="6">
        <f t="shared" si="12"/>
        <v>7224</v>
      </c>
    </row>
    <row r="24" spans="1:25" ht="12">
      <c r="A24" s="3">
        <v>3</v>
      </c>
      <c r="B24" s="2">
        <f t="shared" si="13"/>
        <v>44545.2</v>
      </c>
      <c r="C24" s="2">
        <f aca="true" t="shared" si="14" ref="C24:C51">C23*0.62</f>
        <v>6919.2</v>
      </c>
      <c r="D24" s="2">
        <f aca="true" t="shared" si="15" ref="D24:D51">D23*0.6</f>
        <v>21600</v>
      </c>
      <c r="E24" s="2">
        <f aca="true" t="shared" si="16" ref="E24:E51">E23*0.65</f>
        <v>5070</v>
      </c>
      <c r="F24" s="2">
        <f aca="true" t="shared" si="17" ref="F24:F51">F23*0.6</f>
        <v>10368</v>
      </c>
      <c r="G24" s="2">
        <f aca="true" t="shared" si="18" ref="G24:G51">G23*0.7</f>
        <v>588</v>
      </c>
      <c r="I24" s="2">
        <f t="shared" si="2"/>
        <v>27.77777777777778</v>
      </c>
      <c r="J24" s="3">
        <f>A24*10</f>
        <v>30</v>
      </c>
      <c r="M24" s="3">
        <v>0</v>
      </c>
      <c r="N24" s="2">
        <f t="shared" si="3"/>
        <v>0</v>
      </c>
      <c r="O24" s="2">
        <f t="shared" si="4"/>
        <v>0</v>
      </c>
      <c r="R24" s="6">
        <f t="shared" si="5"/>
        <v>11666.16</v>
      </c>
      <c r="S24" s="6">
        <f t="shared" si="6"/>
        <v>9590.400000000001</v>
      </c>
      <c r="T24" s="6">
        <f t="shared" si="7"/>
        <v>7631.460000000001</v>
      </c>
      <c r="U24" s="6">
        <f t="shared" si="8"/>
        <v>5436</v>
      </c>
      <c r="V24" s="6">
        <f t="shared" si="9"/>
        <v>4476.960000000001</v>
      </c>
      <c r="W24" s="6">
        <f t="shared" si="10"/>
        <v>6593.58</v>
      </c>
      <c r="X24" s="6">
        <f t="shared" si="11"/>
        <v>6109.92</v>
      </c>
      <c r="Y24" s="6">
        <f t="shared" si="12"/>
        <v>6593.58</v>
      </c>
    </row>
    <row r="25" spans="1:25" ht="12">
      <c r="A25" s="3">
        <v>4</v>
      </c>
      <c r="B25" s="2">
        <f t="shared" si="13"/>
        <v>27177.803999999996</v>
      </c>
      <c r="C25" s="2">
        <f t="shared" si="14"/>
        <v>4289.9039999999995</v>
      </c>
      <c r="D25" s="2">
        <f t="shared" si="15"/>
        <v>12960</v>
      </c>
      <c r="E25" s="2">
        <f t="shared" si="16"/>
        <v>3295.5</v>
      </c>
      <c r="F25" s="2">
        <f t="shared" si="17"/>
        <v>6220.8</v>
      </c>
      <c r="G25" s="2">
        <f t="shared" si="18"/>
        <v>411.59999999999997</v>
      </c>
      <c r="I25" s="2">
        <f t="shared" si="2"/>
        <v>46.2962962962963</v>
      </c>
      <c r="J25" s="3">
        <f>A25*43</f>
        <v>172</v>
      </c>
      <c r="M25" s="3">
        <v>0</v>
      </c>
      <c r="N25" s="2">
        <f t="shared" si="3"/>
        <v>0</v>
      </c>
      <c r="O25" s="2">
        <f t="shared" si="4"/>
        <v>0</v>
      </c>
      <c r="R25" s="6">
        <f t="shared" si="5"/>
        <v>9388.2816</v>
      </c>
      <c r="S25" s="6">
        <f t="shared" si="6"/>
        <v>7672.32</v>
      </c>
      <c r="T25" s="6">
        <f t="shared" si="7"/>
        <v>6211.2216</v>
      </c>
      <c r="U25" s="6">
        <f t="shared" si="8"/>
        <v>4477.8768</v>
      </c>
      <c r="V25" s="6">
        <f t="shared" si="9"/>
        <v>3710.6448000000005</v>
      </c>
      <c r="W25" s="6">
        <f t="shared" si="10"/>
        <v>5353.2408</v>
      </c>
      <c r="X25" s="6">
        <f t="shared" si="11"/>
        <v>5017.0128</v>
      </c>
      <c r="Y25" s="6">
        <f t="shared" si="12"/>
        <v>5353.2408</v>
      </c>
    </row>
    <row r="26" spans="1:25" ht="12">
      <c r="A26" s="3">
        <v>5</v>
      </c>
      <c r="B26" s="2">
        <f t="shared" si="13"/>
        <v>16598.41548</v>
      </c>
      <c r="C26" s="2">
        <f t="shared" si="14"/>
        <v>2659.7404799999995</v>
      </c>
      <c r="D26" s="2">
        <f t="shared" si="15"/>
        <v>7776</v>
      </c>
      <c r="E26" s="2">
        <f t="shared" si="16"/>
        <v>2142.0750000000003</v>
      </c>
      <c r="F26" s="2">
        <f t="shared" si="17"/>
        <v>3732.48</v>
      </c>
      <c r="G26" s="2">
        <f t="shared" si="18"/>
        <v>288.11999999999995</v>
      </c>
      <c r="I26" s="2">
        <f t="shared" si="2"/>
        <v>77.1604938271605</v>
      </c>
      <c r="J26" s="3">
        <f>A26*43</f>
        <v>215</v>
      </c>
      <c r="M26" s="3">
        <v>1</v>
      </c>
      <c r="N26" s="2">
        <f t="shared" si="3"/>
        <v>2660</v>
      </c>
      <c r="O26" s="2">
        <f t="shared" si="4"/>
        <v>79800</v>
      </c>
      <c r="R26" s="6">
        <f t="shared" si="5"/>
        <v>7084.11024</v>
      </c>
      <c r="S26" s="6">
        <f t="shared" si="6"/>
        <v>5754.24</v>
      </c>
      <c r="T26" s="6">
        <f t="shared" si="7"/>
        <v>4742.50899</v>
      </c>
      <c r="U26" s="6">
        <f t="shared" si="8"/>
        <v>3462.2446200000004</v>
      </c>
      <c r="V26" s="6">
        <f t="shared" si="9"/>
        <v>2886.8206200000004</v>
      </c>
      <c r="W26" s="6">
        <f t="shared" si="10"/>
        <v>4077.57387</v>
      </c>
      <c r="X26" s="6">
        <f t="shared" si="11"/>
        <v>3866.59662</v>
      </c>
      <c r="Y26" s="6">
        <f t="shared" si="12"/>
        <v>4077.57387</v>
      </c>
    </row>
    <row r="27" spans="1:25" ht="12">
      <c r="A27" s="3">
        <v>6</v>
      </c>
      <c r="B27" s="2">
        <f t="shared" si="13"/>
        <v>10148.159847599998</v>
      </c>
      <c r="C27" s="2">
        <f t="shared" si="14"/>
        <v>1649.0390975999996</v>
      </c>
      <c r="D27" s="2">
        <f t="shared" si="15"/>
        <v>4665.599999999999</v>
      </c>
      <c r="E27" s="2">
        <f t="shared" si="16"/>
        <v>1392.3487500000003</v>
      </c>
      <c r="F27" s="2">
        <f t="shared" si="17"/>
        <v>2239.488</v>
      </c>
      <c r="G27" s="2">
        <f t="shared" si="18"/>
        <v>201.68399999999994</v>
      </c>
      <c r="I27" s="2">
        <f t="shared" si="2"/>
        <v>128.6008230452675</v>
      </c>
      <c r="J27" s="3">
        <f>A27*43</f>
        <v>258</v>
      </c>
      <c r="M27" s="3">
        <v>2</v>
      </c>
      <c r="N27" s="2">
        <f t="shared" si="3"/>
        <v>3298</v>
      </c>
      <c r="O27" s="2">
        <f t="shared" si="4"/>
        <v>178740</v>
      </c>
      <c r="R27" s="6">
        <f t="shared" si="5"/>
        <v>5132.47625856</v>
      </c>
      <c r="S27" s="6">
        <f t="shared" si="6"/>
        <v>4143.0527999999995</v>
      </c>
      <c r="T27" s="6">
        <f t="shared" si="7"/>
        <v>3478.6544835599993</v>
      </c>
      <c r="U27" s="6">
        <f t="shared" si="8"/>
        <v>2573.03681928</v>
      </c>
      <c r="V27" s="6">
        <f t="shared" si="9"/>
        <v>2158.73153928</v>
      </c>
      <c r="W27" s="6">
        <f t="shared" si="10"/>
        <v>2983.9427542800004</v>
      </c>
      <c r="X27" s="6">
        <f t="shared" si="11"/>
        <v>2864.17025928</v>
      </c>
      <c r="Y27" s="6">
        <f t="shared" si="12"/>
        <v>2983.9427542800004</v>
      </c>
    </row>
    <row r="28" spans="1:25" ht="12">
      <c r="A28" s="3">
        <v>7</v>
      </c>
      <c r="B28" s="2">
        <f t="shared" si="13"/>
        <v>6211.662528012</v>
      </c>
      <c r="C28" s="2">
        <f t="shared" si="14"/>
        <v>1022.4042405119998</v>
      </c>
      <c r="D28" s="2">
        <f t="shared" si="15"/>
        <v>2799.3599999999997</v>
      </c>
      <c r="E28" s="2">
        <f t="shared" si="16"/>
        <v>905.0266875000002</v>
      </c>
      <c r="F28" s="2">
        <f t="shared" si="17"/>
        <v>1343.6927999999998</v>
      </c>
      <c r="G28" s="2">
        <f t="shared" si="18"/>
        <v>141.17879999999994</v>
      </c>
      <c r="I28" s="2">
        <f t="shared" si="2"/>
        <v>214.33470507544584</v>
      </c>
      <c r="J28" s="3">
        <f>A28*43</f>
        <v>301</v>
      </c>
      <c r="M28" s="3">
        <v>2</v>
      </c>
      <c r="N28" s="2">
        <f t="shared" si="3"/>
        <v>2044</v>
      </c>
      <c r="O28" s="2">
        <f t="shared" si="4"/>
        <v>240060</v>
      </c>
      <c r="R28" s="6">
        <f t="shared" si="5"/>
        <v>3615.819928358399</v>
      </c>
      <c r="S28" s="6">
        <f t="shared" si="6"/>
        <v>2900.1369599999994</v>
      </c>
      <c r="T28" s="6">
        <f t="shared" si="7"/>
        <v>2482.5107889834</v>
      </c>
      <c r="U28" s="6">
        <f t="shared" si="8"/>
        <v>1861.4012534291999</v>
      </c>
      <c r="V28" s="6">
        <f t="shared" si="9"/>
        <v>1571.3875574292001</v>
      </c>
      <c r="W28" s="6">
        <f t="shared" si="10"/>
        <v>2124.6693048042</v>
      </c>
      <c r="X28" s="6">
        <f t="shared" si="11"/>
        <v>2065.1946614292</v>
      </c>
      <c r="Y28" s="6">
        <f t="shared" si="12"/>
        <v>2124.6693048042</v>
      </c>
    </row>
    <row r="29" spans="1:25" ht="12">
      <c r="A29" s="3">
        <v>8</v>
      </c>
      <c r="B29" s="2">
        <f t="shared" si="13"/>
        <v>3806.8148159924394</v>
      </c>
      <c r="C29" s="2">
        <f t="shared" si="14"/>
        <v>633.8906291174399</v>
      </c>
      <c r="D29" s="2">
        <f t="shared" si="15"/>
        <v>1679.6159999999998</v>
      </c>
      <c r="E29" s="2">
        <f t="shared" si="16"/>
        <v>588.2673468750002</v>
      </c>
      <c r="F29" s="2">
        <f t="shared" si="17"/>
        <v>806.2156799999999</v>
      </c>
      <c r="G29" s="2">
        <f t="shared" si="18"/>
        <v>98.82515999999995</v>
      </c>
      <c r="I29" s="2">
        <f t="shared" si="2"/>
        <v>357.2245084590764</v>
      </c>
      <c r="J29" s="3">
        <f>A29*43</f>
        <v>344</v>
      </c>
      <c r="M29" s="3">
        <v>3</v>
      </c>
      <c r="N29" s="2">
        <f t="shared" si="3"/>
        <v>1902</v>
      </c>
      <c r="O29" s="2">
        <f t="shared" si="4"/>
        <v>297120</v>
      </c>
      <c r="R29" s="6">
        <f t="shared" si="5"/>
        <v>2495.7778472939517</v>
      </c>
      <c r="S29" s="6">
        <f t="shared" si="6"/>
        <v>1988.6653439999998</v>
      </c>
      <c r="T29" s="6">
        <f t="shared" si="7"/>
        <v>1736.7521140439521</v>
      </c>
      <c r="U29" s="6">
        <f t="shared" si="8"/>
        <v>1320.769732346976</v>
      </c>
      <c r="V29" s="6">
        <f t="shared" si="9"/>
        <v>1121.903197946976</v>
      </c>
      <c r="W29" s="6">
        <f t="shared" si="10"/>
        <v>1483.1958623969758</v>
      </c>
      <c r="X29" s="6">
        <f t="shared" si="11"/>
        <v>1460.5137835469761</v>
      </c>
      <c r="Y29" s="6">
        <f t="shared" si="12"/>
        <v>1483.1958623969758</v>
      </c>
    </row>
    <row r="30" spans="1:25" ht="12">
      <c r="A30" s="3">
        <v>9</v>
      </c>
      <c r="B30" s="2">
        <f t="shared" si="13"/>
        <v>2336.0625855215626</v>
      </c>
      <c r="C30" s="2">
        <f t="shared" si="14"/>
        <v>393.0121900528127</v>
      </c>
      <c r="D30" s="2">
        <f t="shared" si="15"/>
        <v>1007.7695999999999</v>
      </c>
      <c r="E30" s="2">
        <f t="shared" si="16"/>
        <v>382.3737754687501</v>
      </c>
      <c r="F30" s="2">
        <f t="shared" si="17"/>
        <v>483.7294079999999</v>
      </c>
      <c r="G30" s="2">
        <f t="shared" si="18"/>
        <v>69.17761199999997</v>
      </c>
      <c r="I30" s="2">
        <f t="shared" si="2"/>
        <v>595.3741807651273</v>
      </c>
      <c r="M30" s="3">
        <v>3</v>
      </c>
      <c r="N30" s="2">
        <f t="shared" si="3"/>
        <v>1179</v>
      </c>
      <c r="O30" s="2">
        <f t="shared" si="4"/>
        <v>332490</v>
      </c>
      <c r="R30" s="6">
        <f t="shared" si="5"/>
        <v>1696.060078247531</v>
      </c>
      <c r="S30" s="6">
        <f t="shared" si="6"/>
        <v>1342.3491072</v>
      </c>
      <c r="T30" s="6">
        <f t="shared" si="7"/>
        <v>1196.9537236084689</v>
      </c>
      <c r="U30" s="6">
        <f t="shared" si="8"/>
        <v>923.6966156056407</v>
      </c>
      <c r="V30" s="6">
        <f t="shared" si="9"/>
        <v>789.4617048856409</v>
      </c>
      <c r="W30" s="6">
        <f t="shared" si="10"/>
        <v>1020.0982380847032</v>
      </c>
      <c r="X30" s="6">
        <f t="shared" si="11"/>
        <v>1018.0238501656407</v>
      </c>
      <c r="Y30" s="6">
        <f t="shared" si="12"/>
        <v>1020.0982380847032</v>
      </c>
    </row>
    <row r="31" spans="1:25" ht="12">
      <c r="A31" s="3">
        <v>10</v>
      </c>
      <c r="B31" s="2">
        <f t="shared" si="13"/>
        <v>1435.5342450874314</v>
      </c>
      <c r="C31" s="2">
        <f t="shared" si="14"/>
        <v>243.66755783274385</v>
      </c>
      <c r="D31" s="2">
        <f t="shared" si="15"/>
        <v>604.6617599999998</v>
      </c>
      <c r="E31" s="2">
        <f t="shared" si="16"/>
        <v>248.54295405468758</v>
      </c>
      <c r="F31" s="2">
        <f t="shared" si="17"/>
        <v>290.23764479999994</v>
      </c>
      <c r="G31" s="2">
        <f t="shared" si="18"/>
        <v>48.42432839999997</v>
      </c>
      <c r="I31" s="2">
        <f t="shared" si="2"/>
        <v>992.2903012752124</v>
      </c>
      <c r="M31" s="3">
        <v>3</v>
      </c>
      <c r="N31" s="2">
        <f t="shared" si="3"/>
        <v>732</v>
      </c>
      <c r="O31" s="2">
        <f t="shared" si="4"/>
        <v>354450</v>
      </c>
      <c r="R31" s="6">
        <f t="shared" si="5"/>
        <v>1138.5669626327438</v>
      </c>
      <c r="S31" s="6">
        <f t="shared" si="6"/>
        <v>894.8994047999998</v>
      </c>
      <c r="T31" s="6">
        <f t="shared" si="7"/>
        <v>815.3887372600877</v>
      </c>
      <c r="U31" s="6">
        <f t="shared" si="8"/>
        <v>638.8465544110595</v>
      </c>
      <c r="V31" s="6">
        <f t="shared" si="9"/>
        <v>549.3566139310594</v>
      </c>
      <c r="W31" s="6">
        <f t="shared" si="10"/>
        <v>693.5549583437157</v>
      </c>
      <c r="X31" s="6">
        <f t="shared" si="11"/>
        <v>701.7313774510594</v>
      </c>
      <c r="Y31" s="6">
        <f t="shared" si="12"/>
        <v>693.5549583437157</v>
      </c>
    </row>
    <row r="32" spans="1:25" ht="12">
      <c r="A32" s="3">
        <v>11</v>
      </c>
      <c r="B32" s="2">
        <f t="shared" si="13"/>
        <v>883.463478751848</v>
      </c>
      <c r="C32" s="2">
        <f t="shared" si="14"/>
        <v>151.0738858563012</v>
      </c>
      <c r="D32" s="2">
        <f t="shared" si="15"/>
        <v>362.7970559999999</v>
      </c>
      <c r="E32" s="2">
        <f t="shared" si="16"/>
        <v>161.55292013554694</v>
      </c>
      <c r="F32" s="2">
        <f t="shared" si="17"/>
        <v>174.14258687999995</v>
      </c>
      <c r="G32" s="2">
        <f t="shared" si="18"/>
        <v>33.89702987999998</v>
      </c>
      <c r="I32" s="2">
        <f t="shared" si="2"/>
        <v>1653.8171687920208</v>
      </c>
      <c r="K32" s="9">
        <f>SUM(B31:B33)/K$16</f>
        <v>0.7636650562409675</v>
      </c>
      <c r="L32" t="s">
        <v>91</v>
      </c>
      <c r="M32" s="3">
        <v>4</v>
      </c>
      <c r="N32" s="2">
        <f t="shared" si="3"/>
        <v>604</v>
      </c>
      <c r="O32" s="2">
        <f t="shared" si="4"/>
        <v>372570</v>
      </c>
      <c r="R32" s="6">
        <f t="shared" si="5"/>
        <v>756.8148816099311</v>
      </c>
      <c r="S32" s="6">
        <f t="shared" si="6"/>
        <v>590.6336071679999</v>
      </c>
      <c r="T32" s="6">
        <f t="shared" si="7"/>
        <v>550.3521841004822</v>
      </c>
      <c r="U32" s="6">
        <f t="shared" si="8"/>
        <v>437.98893152046725</v>
      </c>
      <c r="V32" s="6">
        <f t="shared" si="9"/>
        <v>378.9255708036673</v>
      </c>
      <c r="W32" s="6">
        <f t="shared" si="10"/>
        <v>467.26154687951646</v>
      </c>
      <c r="X32" s="6">
        <f t="shared" si="11"/>
        <v>479.4929147268673</v>
      </c>
      <c r="Y32" s="6">
        <f t="shared" si="12"/>
        <v>467.26154687951646</v>
      </c>
    </row>
    <row r="33" spans="1:25" ht="12">
      <c r="A33" s="3">
        <v>12</v>
      </c>
      <c r="B33" s="2">
        <f t="shared" si="13"/>
        <v>544.5669139630121</v>
      </c>
      <c r="C33" s="2">
        <f t="shared" si="14"/>
        <v>93.66580923090673</v>
      </c>
      <c r="D33" s="2">
        <f t="shared" si="15"/>
        <v>217.6782335999999</v>
      </c>
      <c r="E33" s="2">
        <f t="shared" si="16"/>
        <v>105.00939808810551</v>
      </c>
      <c r="F33" s="2">
        <f t="shared" si="17"/>
        <v>104.48555212799997</v>
      </c>
      <c r="G33" s="2">
        <f t="shared" si="18"/>
        <v>23.72792091599998</v>
      </c>
      <c r="I33" s="2">
        <f t="shared" si="2"/>
        <v>2756.3619479867016</v>
      </c>
      <c r="M33" s="3">
        <v>5</v>
      </c>
      <c r="N33" s="2">
        <f t="shared" si="3"/>
        <v>470</v>
      </c>
      <c r="O33" s="2">
        <f t="shared" si="4"/>
        <v>386670</v>
      </c>
      <c r="R33" s="6">
        <f t="shared" si="5"/>
        <v>498.99551395068795</v>
      </c>
      <c r="S33" s="6">
        <f t="shared" si="6"/>
        <v>386.5965428735999</v>
      </c>
      <c r="T33" s="6">
        <f t="shared" si="7"/>
        <v>368.7028813667513</v>
      </c>
      <c r="U33" s="6">
        <f t="shared" si="8"/>
        <v>298.1897261063506</v>
      </c>
      <c r="V33" s="6">
        <f t="shared" si="9"/>
        <v>259.5300718189906</v>
      </c>
      <c r="W33" s="6">
        <f t="shared" si="10"/>
        <v>312.50339582820726</v>
      </c>
      <c r="X33" s="6">
        <f t="shared" si="11"/>
        <v>325.35596965963066</v>
      </c>
      <c r="Y33" s="6">
        <f t="shared" si="12"/>
        <v>312.50339582820726</v>
      </c>
    </row>
    <row r="34" spans="1:25" ht="12">
      <c r="A34" s="3">
        <v>13</v>
      </c>
      <c r="B34" s="2">
        <f t="shared" si="13"/>
        <v>336.2367265584307</v>
      </c>
      <c r="C34" s="2">
        <f t="shared" si="14"/>
        <v>58.07280172316217</v>
      </c>
      <c r="D34" s="2">
        <f t="shared" si="15"/>
        <v>130.60694015999994</v>
      </c>
      <c r="E34" s="2">
        <f t="shared" si="16"/>
        <v>68.25610875726859</v>
      </c>
      <c r="F34" s="2">
        <f t="shared" si="17"/>
        <v>62.69133127679998</v>
      </c>
      <c r="G34" s="2">
        <f t="shared" si="18"/>
        <v>16.609544641199985</v>
      </c>
      <c r="I34" s="2">
        <f t="shared" si="2"/>
        <v>4593.936579977836</v>
      </c>
      <c r="M34" s="3">
        <v>6</v>
      </c>
      <c r="N34" s="2">
        <f t="shared" si="3"/>
        <v>348</v>
      </c>
      <c r="O34" s="2">
        <f t="shared" si="4"/>
        <v>397110</v>
      </c>
      <c r="R34" s="6">
        <f t="shared" si="5"/>
        <v>326.7823951079507</v>
      </c>
      <c r="S34" s="6">
        <f t="shared" si="6"/>
        <v>251.2877528678399</v>
      </c>
      <c r="T34" s="6">
        <f t="shared" si="7"/>
        <v>245.5049893662554</v>
      </c>
      <c r="U34" s="6">
        <f t="shared" si="8"/>
        <v>201.86658836485657</v>
      </c>
      <c r="V34" s="6">
        <f t="shared" si="9"/>
        <v>176.73781307807258</v>
      </c>
      <c r="W34" s="6">
        <f t="shared" si="10"/>
        <v>207.75766824619996</v>
      </c>
      <c r="X34" s="6">
        <f t="shared" si="11"/>
        <v>219.52464667448854</v>
      </c>
      <c r="Y34" s="6">
        <f t="shared" si="12"/>
        <v>207.75766824619996</v>
      </c>
    </row>
    <row r="35" spans="1:25" ht="12">
      <c r="A35" s="3">
        <v>14</v>
      </c>
      <c r="B35" s="2">
        <f t="shared" si="13"/>
        <v>207.97725187150508</v>
      </c>
      <c r="C35" s="2">
        <f t="shared" si="14"/>
        <v>36.00513706836055</v>
      </c>
      <c r="D35" s="2">
        <f t="shared" si="15"/>
        <v>78.36416409599995</v>
      </c>
      <c r="E35" s="2">
        <f t="shared" si="16"/>
        <v>44.36647069222459</v>
      </c>
      <c r="F35" s="2">
        <f t="shared" si="17"/>
        <v>37.614798766079986</v>
      </c>
      <c r="G35" s="2">
        <f t="shared" si="18"/>
        <v>11.626681248839988</v>
      </c>
      <c r="I35" s="2">
        <f t="shared" si="2"/>
        <v>7656.560966629728</v>
      </c>
      <c r="K35" s="9">
        <f>SUM(B34:B36)/K$16</f>
        <v>0.17950495336957997</v>
      </c>
      <c r="L35" t="s">
        <v>91</v>
      </c>
      <c r="M35" s="3">
        <v>6</v>
      </c>
      <c r="N35" s="2">
        <f t="shared" si="3"/>
        <v>216</v>
      </c>
      <c r="O35" s="2">
        <f t="shared" si="4"/>
        <v>403590</v>
      </c>
      <c r="R35" s="6">
        <f t="shared" si="5"/>
        <v>212.77773990261667</v>
      </c>
      <c r="S35" s="6">
        <f t="shared" si="6"/>
        <v>162.37054800691192</v>
      </c>
      <c r="T35" s="6">
        <f t="shared" si="7"/>
        <v>162.64899538371796</v>
      </c>
      <c r="U35" s="6">
        <f t="shared" si="8"/>
        <v>136.02781931904036</v>
      </c>
      <c r="V35" s="6">
        <f t="shared" si="9"/>
        <v>119.79076451834918</v>
      </c>
      <c r="W35" s="6">
        <f t="shared" si="10"/>
        <v>137.44539943586557</v>
      </c>
      <c r="X35" s="6">
        <f t="shared" si="11"/>
        <v>147.43764161141797</v>
      </c>
      <c r="Y35" s="6">
        <f t="shared" si="12"/>
        <v>137.44539943586557</v>
      </c>
    </row>
    <row r="36" spans="1:25" ht="12">
      <c r="A36" s="3">
        <v>15</v>
      </c>
      <c r="B36" s="2">
        <f t="shared" si="13"/>
        <v>128.88744552376548</v>
      </c>
      <c r="C36" s="2">
        <f t="shared" si="14"/>
        <v>22.323184982383538</v>
      </c>
      <c r="D36" s="2">
        <f t="shared" si="15"/>
        <v>47.01849845759997</v>
      </c>
      <c r="E36" s="2">
        <f t="shared" si="16"/>
        <v>28.838205949945984</v>
      </c>
      <c r="F36" s="2">
        <f t="shared" si="17"/>
        <v>22.56887925964799</v>
      </c>
      <c r="G36" s="2">
        <f t="shared" si="18"/>
        <v>8.138676874187992</v>
      </c>
      <c r="I36" s="2">
        <f t="shared" si="2"/>
        <v>12760.934944382881</v>
      </c>
      <c r="M36" s="3">
        <v>7</v>
      </c>
      <c r="N36" s="2">
        <f t="shared" si="3"/>
        <v>154</v>
      </c>
      <c r="O36" s="2">
        <f t="shared" si="4"/>
        <v>408210</v>
      </c>
      <c r="R36" s="6">
        <f t="shared" si="5"/>
        <v>137.86584404944725</v>
      </c>
      <c r="S36" s="6">
        <f t="shared" si="6"/>
        <v>104.38106657587194</v>
      </c>
      <c r="T36" s="6">
        <f t="shared" si="7"/>
        <v>107.30396522397076</v>
      </c>
      <c r="U36" s="6">
        <f t="shared" si="8"/>
        <v>91.3140176344682</v>
      </c>
      <c r="V36" s="6">
        <f t="shared" si="9"/>
        <v>80.87591097688102</v>
      </c>
      <c r="W36" s="6">
        <f t="shared" si="10"/>
        <v>90.56157648718312</v>
      </c>
      <c r="X36" s="6">
        <f t="shared" si="11"/>
        <v>98.64890339385381</v>
      </c>
      <c r="Y36" s="6">
        <f t="shared" si="12"/>
        <v>90.56157648718312</v>
      </c>
    </row>
    <row r="37" spans="1:25" ht="12">
      <c r="A37" s="3">
        <v>16</v>
      </c>
      <c r="B37" s="2">
        <f t="shared" si="13"/>
        <v>80.03470899882305</v>
      </c>
      <c r="C37" s="2">
        <f t="shared" si="14"/>
        <v>13.840374689077793</v>
      </c>
      <c r="D37" s="2">
        <f t="shared" si="15"/>
        <v>28.21109907455998</v>
      </c>
      <c r="E37" s="2">
        <f t="shared" si="16"/>
        <v>18.74483386746489</v>
      </c>
      <c r="F37" s="2">
        <f t="shared" si="17"/>
        <v>13.541327555788794</v>
      </c>
      <c r="G37" s="2">
        <f t="shared" si="18"/>
        <v>5.697073811931594</v>
      </c>
      <c r="I37" s="2">
        <f t="shared" si="2"/>
        <v>21268.224907304804</v>
      </c>
      <c r="M37" s="3">
        <v>7</v>
      </c>
      <c r="N37" s="2">
        <f t="shared" si="3"/>
        <v>98</v>
      </c>
      <c r="O37" s="2">
        <f t="shared" si="4"/>
        <v>411150</v>
      </c>
      <c r="R37" s="6">
        <f t="shared" si="5"/>
        <v>88.94848211108251</v>
      </c>
      <c r="S37" s="6">
        <f t="shared" si="6"/>
        <v>66.80388260855804</v>
      </c>
      <c r="T37" s="6">
        <f t="shared" si="7"/>
        <v>70.5424079007754</v>
      </c>
      <c r="U37" s="6">
        <f t="shared" si="8"/>
        <v>61.105198721773476</v>
      </c>
      <c r="V37" s="6">
        <f t="shared" si="9"/>
        <v>54.42481046091767</v>
      </c>
      <c r="W37" s="6">
        <f t="shared" si="10"/>
        <v>59.470108149513166</v>
      </c>
      <c r="X37" s="6">
        <f t="shared" si="11"/>
        <v>65.79952560778025</v>
      </c>
      <c r="Y37" s="6">
        <f t="shared" si="12"/>
        <v>59.470108149513166</v>
      </c>
    </row>
    <row r="38" spans="1:25" ht="12">
      <c r="A38" s="3">
        <v>17</v>
      </c>
      <c r="B38" s="2">
        <f t="shared" si="13"/>
        <v>49.80458196764179</v>
      </c>
      <c r="C38" s="2">
        <f t="shared" si="14"/>
        <v>8.58103230722823</v>
      </c>
      <c r="D38" s="2">
        <f t="shared" si="15"/>
        <v>16.926659444735986</v>
      </c>
      <c r="E38" s="2">
        <f t="shared" si="16"/>
        <v>12.18414201385218</v>
      </c>
      <c r="F38" s="2">
        <f t="shared" si="17"/>
        <v>8.124796533473276</v>
      </c>
      <c r="G38" s="2">
        <f t="shared" si="18"/>
        <v>3.9879516683521152</v>
      </c>
      <c r="I38" s="2">
        <f t="shared" si="2"/>
        <v>35447.04151217468</v>
      </c>
      <c r="K38" s="9">
        <f>SUM(B37:B39)/K$16</f>
        <v>0.04290979709291106</v>
      </c>
      <c r="L38" t="s">
        <v>91</v>
      </c>
      <c r="M38" s="3">
        <v>8</v>
      </c>
      <c r="N38" s="2">
        <f t="shared" si="3"/>
        <v>72</v>
      </c>
      <c r="O38" s="2">
        <f t="shared" si="4"/>
        <v>413310</v>
      </c>
      <c r="R38" s="6">
        <f t="shared" si="5"/>
        <v>57.17523008524373</v>
      </c>
      <c r="S38" s="6">
        <f t="shared" si="6"/>
        <v>42.58747516295575</v>
      </c>
      <c r="T38" s="6">
        <f t="shared" si="7"/>
        <v>46.23801321554022</v>
      </c>
      <c r="U38" s="6">
        <f t="shared" si="8"/>
        <v>40.78316143357942</v>
      </c>
      <c r="V38" s="6">
        <f t="shared" si="9"/>
        <v>36.524413917283844</v>
      </c>
      <c r="W38" s="6">
        <f t="shared" si="10"/>
        <v>38.94413575439622</v>
      </c>
      <c r="X38" s="6">
        <f t="shared" si="11"/>
        <v>43.775794823408745</v>
      </c>
      <c r="Y38" s="6">
        <f t="shared" si="12"/>
        <v>38.94413575439622</v>
      </c>
    </row>
    <row r="39" spans="1:25" ht="12">
      <c r="A39" s="3">
        <v>18</v>
      </c>
      <c r="B39" s="2">
        <f t="shared" si="13"/>
        <v>31.062372094257455</v>
      </c>
      <c r="C39" s="2">
        <f t="shared" si="14"/>
        <v>5.320240030481503</v>
      </c>
      <c r="D39" s="2">
        <f t="shared" si="15"/>
        <v>10.15599566684159</v>
      </c>
      <c r="E39" s="2">
        <f t="shared" si="16"/>
        <v>7.919692309003917</v>
      </c>
      <c r="F39" s="2">
        <f t="shared" si="17"/>
        <v>4.874877920083965</v>
      </c>
      <c r="G39" s="2">
        <f t="shared" si="18"/>
        <v>2.7915661678464807</v>
      </c>
      <c r="I39" s="2">
        <f t="shared" si="2"/>
        <v>59078.40252029113</v>
      </c>
      <c r="M39" s="3">
        <v>8</v>
      </c>
      <c r="N39" s="2">
        <f t="shared" si="3"/>
        <v>40</v>
      </c>
      <c r="O39" s="2">
        <f t="shared" si="4"/>
        <v>414510</v>
      </c>
      <c r="R39" s="6">
        <f t="shared" si="5"/>
        <v>36.63200451133271</v>
      </c>
      <c r="S39" s="6">
        <f t="shared" si="6"/>
        <v>27.055572456466</v>
      </c>
      <c r="T39" s="6">
        <f t="shared" si="7"/>
        <v>30.231941361203233</v>
      </c>
      <c r="U39" s="6">
        <f t="shared" si="8"/>
        <v>27.160333920580204</v>
      </c>
      <c r="V39" s="6">
        <f t="shared" si="9"/>
        <v>24.4547766749336</v>
      </c>
      <c r="W39" s="6">
        <f t="shared" si="10"/>
        <v>25.443725333769876</v>
      </c>
      <c r="X39" s="6">
        <f t="shared" si="11"/>
        <v>29.06153630941295</v>
      </c>
      <c r="Y39" s="6">
        <f t="shared" si="12"/>
        <v>25.443725333769876</v>
      </c>
    </row>
    <row r="40" spans="1:25" ht="12">
      <c r="A40" s="3">
        <v>19</v>
      </c>
      <c r="B40" s="2">
        <f t="shared" si="13"/>
        <v>19.418969289398948</v>
      </c>
      <c r="C40" s="2">
        <f t="shared" si="14"/>
        <v>3.2985488188985315</v>
      </c>
      <c r="D40" s="2">
        <f t="shared" si="15"/>
        <v>6.093597400104954</v>
      </c>
      <c r="E40" s="2">
        <f t="shared" si="16"/>
        <v>5.147800000852547</v>
      </c>
      <c r="F40" s="2">
        <f t="shared" si="17"/>
        <v>2.924926752050379</v>
      </c>
      <c r="G40" s="2">
        <f t="shared" si="18"/>
        <v>1.9540963174925363</v>
      </c>
      <c r="I40" s="2">
        <f t="shared" si="2"/>
        <v>98464.00420048521</v>
      </c>
      <c r="M40" s="3">
        <v>9</v>
      </c>
      <c r="N40" s="2">
        <f t="shared" si="3"/>
        <v>27</v>
      </c>
      <c r="O40" s="2">
        <f t="shared" si="4"/>
        <v>415320</v>
      </c>
      <c r="R40" s="6">
        <f t="shared" si="5"/>
        <v>23.402438645002345</v>
      </c>
      <c r="S40" s="6">
        <f t="shared" si="6"/>
        <v>17.135195889095133</v>
      </c>
      <c r="T40" s="6">
        <f t="shared" si="7"/>
        <v>19.7252507012647</v>
      </c>
      <c r="U40" s="6">
        <f t="shared" si="8"/>
        <v>18.055000146301985</v>
      </c>
      <c r="V40" s="6">
        <f t="shared" si="9"/>
        <v>16.341480557392472</v>
      </c>
      <c r="W40" s="6">
        <f t="shared" si="10"/>
        <v>16.591629323311093</v>
      </c>
      <c r="X40" s="6">
        <f t="shared" si="11"/>
        <v>19.259094992562726</v>
      </c>
      <c r="Y40" s="6">
        <f t="shared" si="12"/>
        <v>16.591629323311093</v>
      </c>
    </row>
    <row r="41" spans="1:25" ht="12">
      <c r="A41" s="3">
        <v>20</v>
      </c>
      <c r="B41" s="2">
        <f t="shared" si="13"/>
        <v>12.170152181809218</v>
      </c>
      <c r="C41" s="2">
        <f t="shared" si="14"/>
        <v>2.0451002677170895</v>
      </c>
      <c r="D41" s="2">
        <f t="shared" si="15"/>
        <v>3.6561584400629723</v>
      </c>
      <c r="E41" s="2">
        <f t="shared" si="16"/>
        <v>3.3460700005541555</v>
      </c>
      <c r="F41" s="2">
        <f t="shared" si="17"/>
        <v>1.7549560512302274</v>
      </c>
      <c r="G41" s="2">
        <f t="shared" si="18"/>
        <v>1.3678674222447753</v>
      </c>
      <c r="I41" s="2">
        <f t="shared" si="2"/>
        <v>164106.67366747538</v>
      </c>
      <c r="K41" s="9">
        <f>SUM(B40:B51)/K$16</f>
        <v>0.0139201932965414</v>
      </c>
      <c r="L41" t="s">
        <v>91</v>
      </c>
      <c r="M41" s="3">
        <v>9</v>
      </c>
      <c r="N41" s="2">
        <f t="shared" si="3"/>
        <v>18</v>
      </c>
      <c r="O41" s="2">
        <f t="shared" si="4"/>
        <v>415860</v>
      </c>
      <c r="R41" s="6">
        <f t="shared" si="5"/>
        <v>14.91242951802058</v>
      </c>
      <c r="S41" s="6">
        <f t="shared" si="6"/>
        <v>10.822228982586402</v>
      </c>
      <c r="T41" s="6">
        <f t="shared" si="7"/>
        <v>12.847385027281534</v>
      </c>
      <c r="U41" s="6">
        <f t="shared" si="8"/>
        <v>11.98390896360132</v>
      </c>
      <c r="V41" s="6">
        <f t="shared" si="9"/>
        <v>10.90168606534268</v>
      </c>
      <c r="W41" s="6">
        <f t="shared" si="10"/>
        <v>10.802284759564444</v>
      </c>
      <c r="X41" s="6">
        <f t="shared" si="11"/>
        <v>12.744389919134418</v>
      </c>
      <c r="Y41" s="6">
        <f t="shared" si="12"/>
        <v>10.802284759564444</v>
      </c>
    </row>
    <row r="42" spans="1:25" ht="12">
      <c r="A42" s="3">
        <f aca="true" t="shared" si="19" ref="A42:A51">A41+1</f>
        <v>21</v>
      </c>
      <c r="B42" s="2">
        <f t="shared" si="13"/>
        <v>7.647083556692058</v>
      </c>
      <c r="C42" s="2">
        <f t="shared" si="14"/>
        <v>1.2679621659845954</v>
      </c>
      <c r="D42" s="2">
        <f t="shared" si="15"/>
        <v>2.1936950640377835</v>
      </c>
      <c r="E42" s="2">
        <f t="shared" si="16"/>
        <v>2.174945500360201</v>
      </c>
      <c r="F42" s="2">
        <f t="shared" si="17"/>
        <v>1.0529736307381363</v>
      </c>
      <c r="G42" s="2">
        <f t="shared" si="18"/>
        <v>0.9575071955713427</v>
      </c>
      <c r="I42" s="2">
        <f t="shared" si="2"/>
        <v>273511.1227791256</v>
      </c>
      <c r="M42" s="3">
        <v>9</v>
      </c>
      <c r="N42" s="2">
        <f t="shared" si="3"/>
        <v>9</v>
      </c>
      <c r="O42" s="2">
        <f t="shared" si="4"/>
        <v>416130</v>
      </c>
      <c r="R42" s="6">
        <f t="shared" si="5"/>
        <v>9.480724807597083</v>
      </c>
      <c r="S42" s="6">
        <f t="shared" si="6"/>
        <v>6.818004259029432</v>
      </c>
      <c r="T42" s="6">
        <f t="shared" si="7"/>
        <v>8.355415453460578</v>
      </c>
      <c r="U42" s="6">
        <f t="shared" si="8"/>
        <v>7.944147102749077</v>
      </c>
      <c r="V42" s="6">
        <f t="shared" si="9"/>
        <v>7.262346676846133</v>
      </c>
      <c r="W42" s="6">
        <f t="shared" si="10"/>
        <v>7.024055179176753</v>
      </c>
      <c r="X42" s="6">
        <f t="shared" si="11"/>
        <v>8.42325010473493</v>
      </c>
      <c r="Y42" s="6">
        <f t="shared" si="12"/>
        <v>7.024055179176753</v>
      </c>
    </row>
    <row r="43" spans="1:25" ht="12">
      <c r="A43" s="3">
        <f t="shared" si="19"/>
        <v>22</v>
      </c>
      <c r="B43" s="2">
        <f t="shared" si="13"/>
        <v>4.818107371910072</v>
      </c>
      <c r="C43" s="2">
        <f t="shared" si="14"/>
        <v>0.7861365429104492</v>
      </c>
      <c r="D43" s="2">
        <f t="shared" si="15"/>
        <v>1.3162170384226701</v>
      </c>
      <c r="E43" s="2">
        <f t="shared" si="16"/>
        <v>1.4137145752341307</v>
      </c>
      <c r="F43" s="2">
        <f t="shared" si="17"/>
        <v>0.6317841784428818</v>
      </c>
      <c r="G43" s="2">
        <f t="shared" si="18"/>
        <v>0.6702550368999398</v>
      </c>
      <c r="I43" s="2">
        <f t="shared" si="2"/>
        <v>455851.87129854265</v>
      </c>
      <c r="M43" s="3">
        <v>9</v>
      </c>
      <c r="N43" s="2">
        <f t="shared" si="3"/>
        <v>9</v>
      </c>
      <c r="O43" s="2">
        <f t="shared" si="4"/>
        <v>416400</v>
      </c>
      <c r="R43" s="6">
        <f t="shared" si="5"/>
        <v>6.015103071507203</v>
      </c>
      <c r="S43" s="6">
        <f t="shared" si="6"/>
        <v>4.285602677104214</v>
      </c>
      <c r="T43" s="6">
        <f t="shared" si="7"/>
        <v>5.4273877657126395</v>
      </c>
      <c r="U43" s="6">
        <f t="shared" si="8"/>
        <v>5.260603065847846</v>
      </c>
      <c r="V43" s="6">
        <f t="shared" si="9"/>
        <v>4.832042798137425</v>
      </c>
      <c r="W43" s="6">
        <f t="shared" si="10"/>
        <v>4.562637568511145</v>
      </c>
      <c r="X43" s="6">
        <f t="shared" si="11"/>
        <v>5.561753524238952</v>
      </c>
      <c r="Y43" s="6">
        <f t="shared" si="12"/>
        <v>4.562637568511145</v>
      </c>
    </row>
    <row r="44" spans="1:25" ht="12">
      <c r="A44" s="3">
        <f t="shared" si="19"/>
        <v>23</v>
      </c>
      <c r="B44" s="2">
        <f t="shared" si="13"/>
        <v>3.044298386455952</v>
      </c>
      <c r="C44" s="2">
        <f t="shared" si="14"/>
        <v>0.4874046566044785</v>
      </c>
      <c r="D44" s="2">
        <f t="shared" si="15"/>
        <v>0.7897302230536021</v>
      </c>
      <c r="E44" s="2">
        <f t="shared" si="16"/>
        <v>0.918914473902185</v>
      </c>
      <c r="F44" s="2">
        <f t="shared" si="17"/>
        <v>0.3790705070657291</v>
      </c>
      <c r="G44" s="2">
        <f t="shared" si="18"/>
        <v>0.46917852582995784</v>
      </c>
      <c r="I44" s="2">
        <f t="shared" si="2"/>
        <v>759753.1188309045</v>
      </c>
      <c r="M44" s="3">
        <v>9</v>
      </c>
      <c r="N44" s="2">
        <f t="shared" si="3"/>
        <v>0</v>
      </c>
      <c r="O44" s="2">
        <f t="shared" si="4"/>
        <v>416400</v>
      </c>
      <c r="R44" s="6">
        <f t="shared" si="5"/>
        <v>3.809272389464762</v>
      </c>
      <c r="S44" s="6">
        <f t="shared" si="6"/>
        <v>2.6882416792744617</v>
      </c>
      <c r="T44" s="6">
        <f t="shared" si="7"/>
        <v>3.521903194815044</v>
      </c>
      <c r="U44" s="6">
        <f t="shared" si="8"/>
        <v>3.480491148852514</v>
      </c>
      <c r="V44" s="6">
        <f t="shared" si="9"/>
        <v>3.2116669809250684</v>
      </c>
      <c r="W44" s="6">
        <f t="shared" si="10"/>
        <v>2.961387839719894</v>
      </c>
      <c r="X44" s="6">
        <f t="shared" si="11"/>
        <v>3.6693946182069355</v>
      </c>
      <c r="Y44" s="6">
        <f t="shared" si="12"/>
        <v>2.961387839719894</v>
      </c>
    </row>
    <row r="45" spans="1:25" ht="12">
      <c r="A45" s="3">
        <f t="shared" si="19"/>
        <v>24</v>
      </c>
      <c r="B45" s="2">
        <f t="shared" si="13"/>
        <v>1.929190701283766</v>
      </c>
      <c r="C45" s="2">
        <f t="shared" si="14"/>
        <v>0.30219088709477665</v>
      </c>
      <c r="D45" s="2">
        <f t="shared" si="15"/>
        <v>0.4738381338321612</v>
      </c>
      <c r="E45" s="2">
        <f t="shared" si="16"/>
        <v>0.5972944080364202</v>
      </c>
      <c r="F45" s="2">
        <f t="shared" si="17"/>
        <v>0.22744230423943745</v>
      </c>
      <c r="G45" s="2">
        <f t="shared" si="18"/>
        <v>0.3284249680809705</v>
      </c>
      <c r="I45" s="2">
        <f t="shared" si="2"/>
        <v>1266255.1980515074</v>
      </c>
      <c r="M45" s="3">
        <v>9</v>
      </c>
      <c r="N45" s="2">
        <f t="shared" si="3"/>
        <v>0</v>
      </c>
      <c r="O45" s="2">
        <f t="shared" si="4"/>
        <v>416400</v>
      </c>
      <c r="R45" s="6">
        <f t="shared" si="5"/>
        <v>2.408331180399301</v>
      </c>
      <c r="S45" s="6">
        <f t="shared" si="6"/>
        <v>1.6830730513718368</v>
      </c>
      <c r="T45" s="6">
        <f t="shared" si="7"/>
        <v>2.2835479443570867</v>
      </c>
      <c r="U45" s="6">
        <f t="shared" si="8"/>
        <v>2.3010575592126914</v>
      </c>
      <c r="V45" s="6">
        <f t="shared" si="9"/>
        <v>2.132750254075508</v>
      </c>
      <c r="W45" s="6">
        <f t="shared" si="10"/>
        <v>1.9209188798433545</v>
      </c>
      <c r="X45" s="6">
        <f t="shared" si="11"/>
        <v>2.419327557417199</v>
      </c>
      <c r="Y45" s="6">
        <f t="shared" si="12"/>
        <v>1.9209188798433545</v>
      </c>
    </row>
    <row r="46" spans="1:25" ht="12">
      <c r="A46" s="3">
        <f t="shared" si="19"/>
        <v>25</v>
      </c>
      <c r="B46" s="2">
        <f t="shared" si="13"/>
        <v>1.2262654557220731</v>
      </c>
      <c r="C46" s="2">
        <f t="shared" si="14"/>
        <v>0.18735834999876153</v>
      </c>
      <c r="D46" s="2">
        <f t="shared" si="15"/>
        <v>0.28430288029929673</v>
      </c>
      <c r="E46" s="2">
        <f t="shared" si="16"/>
        <v>0.38824136522367314</v>
      </c>
      <c r="F46" s="2">
        <f t="shared" si="17"/>
        <v>0.13646538254366247</v>
      </c>
      <c r="G46" s="2">
        <f t="shared" si="18"/>
        <v>0.22989747765667934</v>
      </c>
      <c r="I46" s="2"/>
      <c r="M46" s="3">
        <v>9</v>
      </c>
      <c r="N46" s="2">
        <f t="shared" si="3"/>
        <v>0</v>
      </c>
      <c r="O46" s="2">
        <f t="shared" si="4"/>
        <v>416400</v>
      </c>
      <c r="R46" s="6">
        <f t="shared" si="5"/>
        <v>1.520316532104302</v>
      </c>
      <c r="S46" s="6">
        <f t="shared" si="6"/>
        <v>1.051920657107398</v>
      </c>
      <c r="T46" s="6">
        <f t="shared" si="7"/>
        <v>1.4796579100801945</v>
      </c>
      <c r="U46" s="6">
        <f t="shared" si="8"/>
        <v>1.5203775476898542</v>
      </c>
      <c r="V46" s="6">
        <f t="shared" si="9"/>
        <v>1.4151854819791145</v>
      </c>
      <c r="W46" s="6">
        <f t="shared" si="10"/>
        <v>1.2454599725817426</v>
      </c>
      <c r="X46" s="6">
        <f t="shared" si="11"/>
        <v>1.5942962965676715</v>
      </c>
      <c r="Y46" s="6">
        <f t="shared" si="12"/>
        <v>1.2454599725817426</v>
      </c>
    </row>
    <row r="47" spans="1:25" ht="12">
      <c r="A47" s="3">
        <f t="shared" si="19"/>
        <v>26</v>
      </c>
      <c r="B47" s="2">
        <f t="shared" si="13"/>
        <v>0.7819082564600708</v>
      </c>
      <c r="C47" s="2">
        <f t="shared" si="14"/>
        <v>0.11616217699923215</v>
      </c>
      <c r="D47" s="2">
        <f t="shared" si="15"/>
        <v>0.17058172817957803</v>
      </c>
      <c r="E47" s="2">
        <f t="shared" si="16"/>
        <v>0.25235688739538753</v>
      </c>
      <c r="F47" s="2">
        <f t="shared" si="17"/>
        <v>0.08187922952619749</v>
      </c>
      <c r="G47" s="2">
        <f t="shared" si="18"/>
        <v>0.16092823435967551</v>
      </c>
      <c r="I47" s="2"/>
      <c r="M47" s="3">
        <v>9</v>
      </c>
      <c r="N47" s="2">
        <f t="shared" si="3"/>
        <v>0</v>
      </c>
      <c r="O47" s="2">
        <f t="shared" si="4"/>
        <v>416400</v>
      </c>
      <c r="R47" s="6">
        <f t="shared" si="5"/>
        <v>0.9584201502330201</v>
      </c>
      <c r="S47" s="6">
        <f t="shared" si="6"/>
        <v>0.6563984900350165</v>
      </c>
      <c r="T47" s="6">
        <f t="shared" si="7"/>
        <v>0.9582848588295156</v>
      </c>
      <c r="U47" s="6">
        <f t="shared" si="8"/>
        <v>1.0040582843375143</v>
      </c>
      <c r="V47" s="6">
        <f t="shared" si="9"/>
        <v>0.9384184353340126</v>
      </c>
      <c r="W47" s="6">
        <f t="shared" si="10"/>
        <v>0.8072740287305138</v>
      </c>
      <c r="X47" s="6">
        <f t="shared" si="11"/>
        <v>1.0501835836372724</v>
      </c>
      <c r="Y47" s="6">
        <f t="shared" si="12"/>
        <v>0.8072740287305138</v>
      </c>
    </row>
    <row r="48" spans="1:25" ht="12">
      <c r="A48" s="3">
        <f t="shared" si="19"/>
        <v>27</v>
      </c>
      <c r="B48" s="2">
        <f t="shared" si="13"/>
        <v>0.500178865221764</v>
      </c>
      <c r="C48" s="2">
        <f t="shared" si="14"/>
        <v>0.07202054973952393</v>
      </c>
      <c r="D48" s="2">
        <f t="shared" si="15"/>
        <v>0.10234903690774681</v>
      </c>
      <c r="E48" s="2">
        <f t="shared" si="16"/>
        <v>0.1640319768070019</v>
      </c>
      <c r="F48" s="2">
        <f t="shared" si="17"/>
        <v>0.04912753771571849</v>
      </c>
      <c r="G48" s="2">
        <f t="shared" si="18"/>
        <v>0.11264976405177285</v>
      </c>
      <c r="I48" s="2"/>
      <c r="M48" s="3">
        <v>9</v>
      </c>
      <c r="N48" s="2">
        <f t="shared" si="3"/>
        <v>0</v>
      </c>
      <c r="O48" s="2">
        <f t="shared" si="4"/>
        <v>416400</v>
      </c>
      <c r="R48" s="6">
        <f t="shared" si="5"/>
        <v>0.603442235780071</v>
      </c>
      <c r="S48" s="6">
        <f t="shared" si="6"/>
        <v>0.40898675148335634</v>
      </c>
      <c r="T48" s="6">
        <f t="shared" si="7"/>
        <v>0.6203920287278454</v>
      </c>
      <c r="U48" s="6">
        <f t="shared" si="8"/>
        <v>0.6628101049722693</v>
      </c>
      <c r="V48" s="6">
        <f t="shared" si="9"/>
        <v>0.6219114298239338</v>
      </c>
      <c r="W48" s="6">
        <f t="shared" si="10"/>
        <v>0.523164286579488</v>
      </c>
      <c r="X48" s="6">
        <f t="shared" si="11"/>
        <v>0.6915497145359646</v>
      </c>
      <c r="Y48" s="6">
        <f t="shared" si="12"/>
        <v>0.523164286579488</v>
      </c>
    </row>
    <row r="49" spans="1:25" ht="12">
      <c r="A49" s="3">
        <f t="shared" si="19"/>
        <v>28</v>
      </c>
      <c r="B49" s="2">
        <f t="shared" si="13"/>
        <v>0.3210143053733762</v>
      </c>
      <c r="C49" s="2">
        <f t="shared" si="14"/>
        <v>0.04465274083850484</v>
      </c>
      <c r="D49" s="2">
        <f t="shared" si="15"/>
        <v>0.06140942214464808</v>
      </c>
      <c r="E49" s="2">
        <f t="shared" si="16"/>
        <v>0.10662078492455124</v>
      </c>
      <c r="F49" s="2">
        <f t="shared" si="17"/>
        <v>0.029476522629431092</v>
      </c>
      <c r="G49" s="2">
        <f t="shared" si="18"/>
        <v>0.07885483483624099</v>
      </c>
      <c r="I49" s="2"/>
      <c r="M49" s="3">
        <v>9</v>
      </c>
      <c r="N49" s="2">
        <f t="shared" si="3"/>
        <v>0</v>
      </c>
      <c r="O49" s="2">
        <f t="shared" si="4"/>
        <v>416400</v>
      </c>
      <c r="R49" s="6">
        <f t="shared" si="5"/>
        <v>0.37950831971523524</v>
      </c>
      <c r="S49" s="6">
        <f t="shared" si="6"/>
        <v>0.25448064536742165</v>
      </c>
      <c r="T49" s="6">
        <f t="shared" si="7"/>
        <v>0.40153709592589615</v>
      </c>
      <c r="U49" s="6">
        <f t="shared" si="8"/>
        <v>0.43739622857287674</v>
      </c>
      <c r="V49" s="6">
        <f t="shared" si="9"/>
        <v>0.4119481640361346</v>
      </c>
      <c r="W49" s="6">
        <f t="shared" si="10"/>
        <v>0.33902325875198935</v>
      </c>
      <c r="X49" s="6">
        <f t="shared" si="11"/>
        <v>0.4552786523013983</v>
      </c>
      <c r="Y49" s="6">
        <f t="shared" si="12"/>
        <v>0.33902325875198935</v>
      </c>
    </row>
    <row r="50" spans="1:25" ht="12">
      <c r="A50" s="3">
        <f t="shared" si="19"/>
        <v>29</v>
      </c>
      <c r="B50" s="2">
        <f t="shared" si="13"/>
        <v>0.2067181607706475</v>
      </c>
      <c r="C50" s="2">
        <f t="shared" si="14"/>
        <v>0.027684699319873</v>
      </c>
      <c r="D50" s="2">
        <f t="shared" si="15"/>
        <v>0.03684565328678885</v>
      </c>
      <c r="E50" s="2">
        <f t="shared" si="16"/>
        <v>0.0693035102009583</v>
      </c>
      <c r="F50" s="2">
        <f t="shared" si="17"/>
        <v>0.017685913577658655</v>
      </c>
      <c r="G50" s="2">
        <f t="shared" si="18"/>
        <v>0.05519838438536869</v>
      </c>
      <c r="I50" s="2"/>
      <c r="M50" s="3">
        <v>9</v>
      </c>
      <c r="N50" s="2">
        <f t="shared" si="3"/>
        <v>0</v>
      </c>
      <c r="O50" s="2">
        <f t="shared" si="4"/>
        <v>416400</v>
      </c>
      <c r="R50" s="6">
        <f t="shared" si="5"/>
        <v>0.2384271719345295</v>
      </c>
      <c r="S50" s="6">
        <f t="shared" si="6"/>
        <v>0.15814154390689777</v>
      </c>
      <c r="T50" s="6">
        <f t="shared" si="7"/>
        <v>0.25984648977247016</v>
      </c>
      <c r="U50" s="6">
        <f t="shared" si="8"/>
        <v>0.28856545676866424</v>
      </c>
      <c r="V50" s="6">
        <f t="shared" si="9"/>
        <v>0.27275130237797446</v>
      </c>
      <c r="W50" s="6">
        <f t="shared" si="10"/>
        <v>0.2197036757586543</v>
      </c>
      <c r="X50" s="6">
        <f t="shared" si="11"/>
        <v>0.2996781057999598</v>
      </c>
      <c r="Y50" s="6">
        <f t="shared" si="12"/>
        <v>0.2197036757586543</v>
      </c>
    </row>
    <row r="51" spans="1:25" ht="12">
      <c r="A51" s="3">
        <f t="shared" si="19"/>
        <v>30</v>
      </c>
      <c r="B51" s="2">
        <f t="shared" si="13"/>
        <v>0.13356960439737076</v>
      </c>
      <c r="C51" s="2">
        <f t="shared" si="14"/>
        <v>0.017164513578321258</v>
      </c>
      <c r="D51" s="2">
        <f t="shared" si="15"/>
        <v>0.022107391972073308</v>
      </c>
      <c r="E51" s="2">
        <f t="shared" si="16"/>
        <v>0.0450472816306229</v>
      </c>
      <c r="F51" s="2">
        <f t="shared" si="17"/>
        <v>0.010611548146595193</v>
      </c>
      <c r="G51" s="2">
        <f t="shared" si="18"/>
        <v>0.03863886906975808</v>
      </c>
      <c r="I51" s="2"/>
      <c r="M51" s="3">
        <v>9</v>
      </c>
      <c r="N51" s="2">
        <f t="shared" si="3"/>
        <v>0</v>
      </c>
      <c r="O51" s="2">
        <f t="shared" si="4"/>
        <v>416400</v>
      </c>
      <c r="R51" s="6">
        <f t="shared" si="5"/>
        <v>0.1496503610909693</v>
      </c>
      <c r="S51" s="6">
        <f t="shared" si="6"/>
        <v>0.09815682035600551</v>
      </c>
      <c r="T51" s="6">
        <f t="shared" si="7"/>
        <v>0.16814287335890088</v>
      </c>
      <c r="U51" s="6">
        <f t="shared" si="8"/>
        <v>0.19033566136615224</v>
      </c>
      <c r="V51" s="6">
        <f t="shared" si="9"/>
        <v>0.18051997933055172</v>
      </c>
      <c r="W51" s="6">
        <f t="shared" si="10"/>
        <v>0.142396102991419</v>
      </c>
      <c r="X51" s="6">
        <f t="shared" si="11"/>
        <v>0.1972331676614391</v>
      </c>
      <c r="Y51" s="6">
        <f t="shared" si="12"/>
        <v>0.142396102991419</v>
      </c>
    </row>
    <row r="54" spans="1:25" ht="12">
      <c r="A54" s="11" t="s">
        <v>36</v>
      </c>
      <c r="B54" s="2">
        <f aca="true" t="shared" si="20" ref="B54:G54">SUM(B22:B51)</f>
        <v>307653.88443807815</v>
      </c>
      <c r="C54" s="2">
        <f t="shared" si="20"/>
        <v>47368.39304737258</v>
      </c>
      <c r="D54" s="2">
        <f t="shared" si="20"/>
        <v>149999.96683891205</v>
      </c>
      <c r="E54" s="2">
        <f t="shared" si="20"/>
        <v>34285.630626476974</v>
      </c>
      <c r="F54" s="2">
        <f t="shared" si="20"/>
        <v>71999.9840826778</v>
      </c>
      <c r="G54" s="2">
        <f t="shared" si="20"/>
        <v>3999.909842638838</v>
      </c>
      <c r="L54" s="11" t="s">
        <v>36</v>
      </c>
      <c r="N54" s="2">
        <f>SUM(N22:N51)</f>
        <v>13880</v>
      </c>
      <c r="O54" s="2">
        <f>N54*30</f>
        <v>416400</v>
      </c>
      <c r="Q54" s="2"/>
      <c r="R54" s="2">
        <f aca="true" t="shared" si="21" ref="R54:Y54">SUM(R22:R51)</f>
        <v>67965.12307080379</v>
      </c>
      <c r="S54" s="2">
        <f t="shared" si="21"/>
        <v>55499.840495166914</v>
      </c>
      <c r="T54" s="2">
        <f t="shared" si="21"/>
        <v>45113.02456671819</v>
      </c>
      <c r="U54" s="2">
        <f t="shared" si="21"/>
        <v>32678.236923364264</v>
      </c>
      <c r="V54" s="2">
        <f t="shared" si="21"/>
        <v>27128.252873847585</v>
      </c>
      <c r="W54" s="2">
        <f t="shared" si="21"/>
        <v>38880.383278899775</v>
      </c>
      <c r="X54" s="2">
        <f t="shared" si="21"/>
        <v>36578.225714916545</v>
      </c>
      <c r="Y54" s="2">
        <f t="shared" si="21"/>
        <v>38880.383278899775</v>
      </c>
    </row>
    <row r="56" spans="1:7" ht="12">
      <c r="A56" s="11" t="s">
        <v>74</v>
      </c>
      <c r="B56" s="2">
        <f>SUM($C54:$G54)</f>
        <v>307653.8844380782</v>
      </c>
      <c r="C56" s="9">
        <f>C54/$B56</f>
        <v>0.1539665040598779</v>
      </c>
      <c r="D56" s="9">
        <f>D54/$B56</f>
        <v>0.48756077665940434</v>
      </c>
      <c r="E56" s="9">
        <f>E54/$B56</f>
        <v>0.11144221594698465</v>
      </c>
      <c r="F56" s="9">
        <f>F54/$B56</f>
        <v>0.23402917279651414</v>
      </c>
      <c r="G56" s="9">
        <f>G54/$B56</f>
        <v>0.013001330537219021</v>
      </c>
    </row>
    <row r="57" spans="1:7" ht="12">
      <c r="A57" s="11" t="s">
        <v>80</v>
      </c>
      <c r="B57" s="5">
        <f>B56/$B20</f>
        <v>0.025637823703173183</v>
      </c>
      <c r="C57" s="10">
        <f>C54/$B20</f>
        <v>0.003947366087281048</v>
      </c>
      <c r="D57" s="10">
        <f>D54/$B20</f>
        <v>0.012499997236576004</v>
      </c>
      <c r="E57" s="10">
        <f>E54/$B20</f>
        <v>0.0028571358855397477</v>
      </c>
      <c r="F57" s="10">
        <f>F54/$B20</f>
        <v>0.005999998673556483</v>
      </c>
      <c r="G57" s="10">
        <f>G54/$B20</f>
        <v>0.00033332582021990316</v>
      </c>
    </row>
    <row r="58" spans="1:7" ht="12">
      <c r="A58" s="11"/>
      <c r="B58" s="5"/>
      <c r="C58" s="10"/>
      <c r="D58" s="10"/>
      <c r="E58" s="10"/>
      <c r="F58" s="10"/>
      <c r="G58" s="10"/>
    </row>
    <row r="59" spans="3:6" ht="12">
      <c r="C59" s="13" t="s">
        <v>85</v>
      </c>
      <c r="D59" s="14"/>
      <c r="E59" s="14"/>
      <c r="F59" s="13" t="s">
        <v>83</v>
      </c>
    </row>
    <row r="60" spans="3:6" ht="12">
      <c r="C60" s="13" t="s">
        <v>86</v>
      </c>
      <c r="D60" s="13" t="s">
        <v>75</v>
      </c>
      <c r="E60" s="13" t="s">
        <v>76</v>
      </c>
      <c r="F60" s="13" t="s">
        <v>84</v>
      </c>
    </row>
    <row r="61" spans="1:7" ht="12">
      <c r="A61" s="11" t="s">
        <v>77</v>
      </c>
      <c r="B61" s="2">
        <f>SUM(B30:B51)</f>
        <v>6085.8277664737725</v>
      </c>
      <c r="C61" s="2">
        <f>SUM(C30:C51)</f>
        <v>1034.2146001431424</v>
      </c>
      <c r="D61" s="2">
        <f>SUM(D30:D51)</f>
        <v>2519.3908389120406</v>
      </c>
      <c r="E61" s="2">
        <f>SUM(E32:E51)</f>
        <v>461.49611257853434</v>
      </c>
      <c r="F61" s="2">
        <f>SUM(F31:F51)</f>
        <v>725.5781946777798</v>
      </c>
      <c r="G61" s="2">
        <f>SUM(G30:G51)</f>
        <v>230.50188263883712</v>
      </c>
    </row>
    <row r="62" spans="1:7" ht="12">
      <c r="A62" s="11" t="s">
        <v>80</v>
      </c>
      <c r="B62" s="10">
        <f aca="true" t="shared" si="22" ref="B62:G62">B61/$B20</f>
        <v>0.0005071523138728143</v>
      </c>
      <c r="C62" s="10">
        <f t="shared" si="22"/>
        <v>8.618455001192854E-05</v>
      </c>
      <c r="D62" s="10">
        <f t="shared" si="22"/>
        <v>0.00020994923657600338</v>
      </c>
      <c r="E62" s="10">
        <f t="shared" si="22"/>
        <v>3.845800938154453E-05</v>
      </c>
      <c r="F62" s="10">
        <f t="shared" si="22"/>
        <v>6.046484955648165E-05</v>
      </c>
      <c r="G62" s="10">
        <f t="shared" si="22"/>
        <v>1.9208490219903092E-05</v>
      </c>
    </row>
  </sheetData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www.superdan.net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AD&amp;D Class/Level Demographics</dc:title>
  <dc:subject>Humans</dc:subject>
  <dc:creator>Daniel R. Collins</dc:creator>
  <cp:keywords/>
  <dc:description/>
  <cp:lastModifiedBy>Daniel R. Collins</cp:lastModifiedBy>
  <cp:lastPrinted>2001-05-14T23:03:31Z</cp:lastPrinted>
  <dcterms:created xsi:type="dcterms:W3CDTF">2001-05-14T22:45:48Z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